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tz/Library/CloudStorage/Dropbox/blogs/"/>
    </mc:Choice>
  </mc:AlternateContent>
  <xr:revisionPtr revIDLastSave="0" documentId="13_ncr:1_{F7718F29-C5FA-D440-A822-9E925717A89B}" xr6:coauthVersionLast="47" xr6:coauthVersionMax="47" xr10:uidLastSave="{00000000-0000-0000-0000-000000000000}"/>
  <bookViews>
    <workbookView xWindow="3020" yWindow="1760" windowWidth="26700" windowHeight="17440" xr2:uid="{A595FC57-56B3-3F43-8BC6-668A89567E97}"/>
  </bookViews>
  <sheets>
    <sheet name="ePWV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24" i="1"/>
  <c r="C25" i="1"/>
  <c r="C26" i="1" s="1"/>
  <c r="C22" i="1"/>
  <c r="C28" i="1"/>
  <c r="C37" i="1"/>
  <c r="C27" i="1"/>
  <c r="C10" i="1"/>
  <c r="E10" i="1" s="1"/>
  <c r="C5" i="1"/>
  <c r="C15" i="1" s="1"/>
  <c r="I53" i="1"/>
  <c r="G53" i="1"/>
  <c r="C38" i="1" l="1"/>
  <c r="D10" i="1"/>
  <c r="C29" i="1"/>
  <c r="C16" i="1"/>
  <c r="I52" i="1" l="1"/>
  <c r="I54" i="1" s="1"/>
  <c r="C30" i="1"/>
  <c r="C11" i="1"/>
  <c r="G52" i="1"/>
  <c r="G54" i="1" s="1"/>
</calcChain>
</file>

<file path=xl/sharedStrings.xml><?xml version="1.0" encoding="utf-8"?>
<sst xmlns="http://schemas.openxmlformats.org/spreadsheetml/2006/main" count="63" uniqueCount="53">
  <si>
    <t>age</t>
  </si>
  <si>
    <t>SBP</t>
  </si>
  <si>
    <t>DBP</t>
  </si>
  <si>
    <t>MBP</t>
  </si>
  <si>
    <t>gender</t>
  </si>
  <si>
    <t>height</t>
  </si>
  <si>
    <t>Estimated MBP</t>
  </si>
  <si>
    <t>est_baPWV</t>
  </si>
  <si>
    <t>Step 1: estimating baPWV (from Blood Pressure Data, Height, Gender)</t>
  </si>
  <si>
    <t>Step 2: estimating biological (vascular) age based on Step 1</t>
  </si>
  <si>
    <t>k_pwv</t>
  </si>
  <si>
    <t>men</t>
  </si>
  <si>
    <t>q_pwv</t>
  </si>
  <si>
    <t>s2BA</t>
  </si>
  <si>
    <t>women</t>
  </si>
  <si>
    <t>k_height</t>
  </si>
  <si>
    <t>q_height</t>
  </si>
  <si>
    <t>k_HR</t>
  </si>
  <si>
    <t>q_HR</t>
  </si>
  <si>
    <t>Heart Rate</t>
  </si>
  <si>
    <t>sj_pwv</t>
  </si>
  <si>
    <t>sj_height</t>
  </si>
  <si>
    <t>sj_HR</t>
  </si>
  <si>
    <t>BioAge (vascular)</t>
  </si>
  <si>
    <t>heart rate</t>
  </si>
  <si>
    <t>Option 1: Calculation of estimated cfPWV according to published papers</t>
  </si>
  <si>
    <t>&lt;30</t>
  </si>
  <si>
    <t>30-39</t>
  </si>
  <si>
    <t>40-49</t>
  </si>
  <si>
    <t>50-59</t>
  </si>
  <si>
    <t>60-69</t>
  </si>
  <si>
    <t>&gt;=70</t>
  </si>
  <si>
    <t>10th percentile</t>
  </si>
  <si>
    <t>median</t>
  </si>
  <si>
    <t>90th percentile</t>
  </si>
  <si>
    <t>Vascular Age Category</t>
  </si>
  <si>
    <t xml:space="preserve">For Comparison: </t>
  </si>
  <si>
    <t xml:space="preserve">References: </t>
  </si>
  <si>
    <t>ePWV (Ref 2)</t>
  </si>
  <si>
    <t>ePWV healthy (Ref 1)</t>
  </si>
  <si>
    <t>ePWV (ref 1)</t>
  </si>
  <si>
    <t xml:space="preserve">Normal population </t>
  </si>
  <si>
    <t>age range: (Ref 1)</t>
  </si>
  <si>
    <t>Mattace-Raso FUS, Hofman A, Verwoert GC, Wittemana JCM, Wilkinson I, Cockcroft J, et al. Determinants of pulse wave velocity in healthy people and in the presence of cardiovascular risk factors: ‘establishing normal and reference values.’ Eur Heart J 2010;31:2338–50.</t>
  </si>
  <si>
    <t>Heffernan KS, Stoner L, London AS, Augustine JA, Lefferts WK. Estimated pulse wave velocity as a measure of vascular aging. PLoS One 2023;18:1–16. doi:10.1371/journal.pone.0280896.</t>
  </si>
  <si>
    <t>Option 2: Estimating BioAge (from adiphea reference data)</t>
  </si>
  <si>
    <t>withings PWV</t>
  </si>
  <si>
    <t>baPWV</t>
  </si>
  <si>
    <t>in meter</t>
  </si>
  <si>
    <t>1=male; 0=female</t>
  </si>
  <si>
    <t>10%ile</t>
  </si>
  <si>
    <t>90%ile</t>
  </si>
  <si>
    <t>Option 3: Estimating BioAge from measured PWV (Withings)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</si>
</sst>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sz val="12"/>
      <color rgb="FF000000"/>
      <name val="Helvetica"/>
      <family val="2"/>
    </font>
    <font>
      <b/>
      <sz val="12"/>
      <color theme="1"/>
      <name val="Helvetica"/>
      <family val="2"/>
    </font>
    <font>
      <sz val="12"/>
      <color rgb="FF404040"/>
      <name val="Helvetica"/>
      <family val="2"/>
    </font>
    <font>
      <b/>
      <sz val="20"/>
      <color theme="1"/>
      <name val="Helvetica"/>
      <family val="2"/>
    </font>
    <font>
      <sz val="20"/>
      <color theme="1"/>
      <name val="Helvetica"/>
      <family val="2"/>
    </font>
    <font>
      <sz val="20"/>
      <color rgb="FF000000"/>
      <name val="Helvetica"/>
      <family val="2"/>
    </font>
    <font>
      <sz val="16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6" fontId="1" fillId="0" borderId="0" xfId="0" applyNumberFormat="1" applyFont="1"/>
    <xf numFmtId="166" fontId="2" fillId="0" borderId="0" xfId="0" applyNumberFormat="1" applyFont="1"/>
    <xf numFmtId="1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1" xfId="0" applyFont="1" applyBorder="1"/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166" fontId="7" fillId="0" borderId="0" xfId="0" applyNumberFormat="1" applyFont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2" borderId="2" xfId="0" applyFont="1" applyFill="1" applyBorder="1" applyAlignment="1" applyProtection="1">
      <alignment horizontal="center"/>
      <protection locked="0"/>
    </xf>
    <xf numFmtId="0" fontId="8" fillId="0" borderId="3" xfId="0" applyFont="1" applyBorder="1"/>
    <xf numFmtId="0" fontId="8" fillId="0" borderId="4" xfId="0" applyFont="1" applyBorder="1"/>
    <xf numFmtId="0" fontId="1" fillId="0" borderId="5" xfId="0" applyFont="1" applyBorder="1"/>
    <xf numFmtId="0" fontId="5" fillId="0" borderId="3" xfId="0" applyFont="1" applyBorder="1"/>
    <xf numFmtId="166" fontId="5" fillId="0" borderId="5" xfId="0" applyNumberFormat="1" applyFont="1" applyBorder="1"/>
    <xf numFmtId="0" fontId="4" fillId="0" borderId="0" xfId="0" applyFont="1" applyAlignment="1">
      <alignment horizontal="center"/>
    </xf>
    <xf numFmtId="0" fontId="1" fillId="0" borderId="6" xfId="0" applyFont="1" applyBorder="1"/>
    <xf numFmtId="166" fontId="1" fillId="0" borderId="6" xfId="0" applyNumberFormat="1" applyFont="1" applyBorder="1"/>
    <xf numFmtId="0" fontId="1" fillId="0" borderId="6" xfId="0" applyFont="1" applyBorder="1" applyProtection="1">
      <protection hidden="1"/>
    </xf>
    <xf numFmtId="166" fontId="1" fillId="3" borderId="7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5B1A-339C-034F-9D38-C74DD115579D}">
  <dimension ref="A1:J60"/>
  <sheetViews>
    <sheetView tabSelected="1" workbookViewId="0">
      <selection activeCell="C37" sqref="C37"/>
    </sheetView>
  </sheetViews>
  <sheetFormatPr baseColWidth="10" defaultRowHeight="16" x14ac:dyDescent="0.2"/>
  <cols>
    <col min="1" max="1" width="15.33203125" style="1" customWidth="1"/>
    <col min="2" max="2" width="30.33203125" style="1" bestFit="1" customWidth="1"/>
    <col min="3" max="16384" width="10.83203125" style="1"/>
  </cols>
  <sheetData>
    <row r="1" spans="1:5" s="8" customFormat="1" ht="26" x14ac:dyDescent="0.3">
      <c r="A1" s="7" t="s">
        <v>25</v>
      </c>
    </row>
    <row r="2" spans="1:5" x14ac:dyDescent="0.2">
      <c r="B2" s="1" t="s">
        <v>0</v>
      </c>
      <c r="C2" s="16">
        <v>66</v>
      </c>
      <c r="D2" s="6"/>
    </row>
    <row r="3" spans="1:5" x14ac:dyDescent="0.2">
      <c r="B3" s="1" t="s">
        <v>1</v>
      </c>
      <c r="C3" s="16">
        <v>118</v>
      </c>
    </row>
    <row r="4" spans="1:5" x14ac:dyDescent="0.2">
      <c r="B4" s="1" t="s">
        <v>2</v>
      </c>
      <c r="C4" s="16">
        <v>78</v>
      </c>
    </row>
    <row r="5" spans="1:5" x14ac:dyDescent="0.2">
      <c r="B5" s="1" t="s">
        <v>3</v>
      </c>
      <c r="C5" s="6">
        <f>C4+0.4*(C3-C4)</f>
        <v>94</v>
      </c>
    </row>
    <row r="6" spans="1:5" x14ac:dyDescent="0.2">
      <c r="B6" s="1" t="s">
        <v>4</v>
      </c>
      <c r="C6" s="16">
        <v>1</v>
      </c>
      <c r="D6" s="1" t="s">
        <v>49</v>
      </c>
    </row>
    <row r="7" spans="1:5" x14ac:dyDescent="0.2">
      <c r="B7" s="1" t="s">
        <v>5</v>
      </c>
      <c r="C7" s="16">
        <v>1.82</v>
      </c>
      <c r="D7" s="1" t="s">
        <v>48</v>
      </c>
    </row>
    <row r="8" spans="1:5" x14ac:dyDescent="0.2">
      <c r="B8" s="1" t="s">
        <v>24</v>
      </c>
      <c r="C8" s="16">
        <v>61</v>
      </c>
    </row>
    <row r="9" spans="1:5" ht="26" x14ac:dyDescent="0.3">
      <c r="B9" s="8" t="s">
        <v>40</v>
      </c>
      <c r="C9" s="12">
        <f>7.84-0.33*C2+0.0038*POWER(C2,2)-1.97*0.00001*POWER(C2,2)*C5+0.0025*(C2*C5)-0.0019*C5</f>
        <v>9.8777591999999999</v>
      </c>
      <c r="D9" s="6" t="s">
        <v>50</v>
      </c>
      <c r="E9" s="6" t="s">
        <v>51</v>
      </c>
    </row>
    <row r="10" spans="1:5" ht="17" thickBot="1" x14ac:dyDescent="0.25">
      <c r="B10" s="1" t="s">
        <v>42</v>
      </c>
      <c r="C10" s="6" t="str">
        <f>IF(C2&lt;30,"&lt;30",IF(C2&lt;40,"30-39",IF(C2&lt;50,"40-49",IF(C2&lt;60,"50-59",IF(C2&lt;70,"60-69","&gt;=70")))))</f>
        <v>60-69</v>
      </c>
      <c r="D10" s="22">
        <f>INDEX(Sheet2!A2:D7,MATCH(C10,Sheet2!A2:A7,0),2)</f>
        <v>9.9</v>
      </c>
      <c r="E10" s="6">
        <f>INDEX(Sheet2!A2:D7,MATCH(C10,Sheet2!A2:A7,0),4)</f>
        <v>16.3</v>
      </c>
    </row>
    <row r="11" spans="1:5" ht="22" thickBot="1" x14ac:dyDescent="0.3">
      <c r="B11" s="17" t="s">
        <v>35</v>
      </c>
      <c r="C11" s="18" t="str">
        <f>IF(C9&lt;D10,"SUPERNOVA",IF(C9&gt;E10,"EVA","Normal"))</f>
        <v>SUPERNOVA</v>
      </c>
      <c r="D11" s="19"/>
    </row>
    <row r="14" spans="1:5" s="9" customFormat="1" x14ac:dyDescent="0.2">
      <c r="A14" s="13" t="s">
        <v>36</v>
      </c>
    </row>
    <row r="15" spans="1:5" x14ac:dyDescent="0.2">
      <c r="B15" s="1" t="s">
        <v>38</v>
      </c>
      <c r="C15" s="2">
        <f>9.587 - 0.402 * C2 + 4.56 * 0.001 * POWER(C2,2) - 2.621 * 0.00001 * POWER(C2,2) * C5 + 3.176 * 0.001 * C2 * C5 - 1.832 * 0.01 * C5</f>
        <v>10.16813256</v>
      </c>
    </row>
    <row r="16" spans="1:5" x14ac:dyDescent="0.2">
      <c r="B16" s="1" t="s">
        <v>39</v>
      </c>
      <c r="C16" s="3">
        <f xml:space="preserve"> 4.62-0.13*C2+0.0018*POWER(C2,2)+0.0006*C2*C5+0.0284*C5</f>
        <v>10.2728</v>
      </c>
      <c r="D16" s="1" t="s">
        <v>41</v>
      </c>
    </row>
    <row r="18" spans="1:4" s="9" customFormat="1" x14ac:dyDescent="0.2"/>
    <row r="20" spans="1:4" s="7" customFormat="1" ht="26" x14ac:dyDescent="0.3">
      <c r="A20" s="7" t="s">
        <v>45</v>
      </c>
    </row>
    <row r="21" spans="1:4" x14ac:dyDescent="0.2">
      <c r="A21" s="1" t="s">
        <v>8</v>
      </c>
    </row>
    <row r="22" spans="1:4" x14ac:dyDescent="0.2">
      <c r="B22" s="1" t="s">
        <v>0</v>
      </c>
      <c r="C22" s="1">
        <f>C2</f>
        <v>66</v>
      </c>
    </row>
    <row r="23" spans="1:4" x14ac:dyDescent="0.2">
      <c r="B23" s="1" t="s">
        <v>4</v>
      </c>
      <c r="C23" s="1">
        <v>1</v>
      </c>
    </row>
    <row r="24" spans="1:4" x14ac:dyDescent="0.2">
      <c r="B24" s="1" t="s">
        <v>1</v>
      </c>
      <c r="C24" s="4">
        <f>C3</f>
        <v>118</v>
      </c>
      <c r="D24" s="4"/>
    </row>
    <row r="25" spans="1:4" x14ac:dyDescent="0.2">
      <c r="B25" s="1" t="s">
        <v>2</v>
      </c>
      <c r="C25" s="1">
        <f>C4</f>
        <v>78</v>
      </c>
    </row>
    <row r="26" spans="1:4" x14ac:dyDescent="0.2">
      <c r="B26" s="1" t="s">
        <v>6</v>
      </c>
      <c r="C26" s="4">
        <f xml:space="preserve"> IF(C23=1,-4.211775 + 0.2445439*C24+0.8527324*C25,-1.234484+0.3161336*C24+0.7187616*C25)</f>
        <v>91.157532400000008</v>
      </c>
    </row>
    <row r="27" spans="1:4" x14ac:dyDescent="0.2">
      <c r="B27" s="1" t="s">
        <v>19</v>
      </c>
      <c r="C27" s="4">
        <f>C8</f>
        <v>61</v>
      </c>
    </row>
    <row r="28" spans="1:4" x14ac:dyDescent="0.2">
      <c r="B28" s="1" t="s">
        <v>5</v>
      </c>
      <c r="C28" s="1">
        <f>C7</f>
        <v>1.82</v>
      </c>
    </row>
    <row r="29" spans="1:4" ht="17" thickBot="1" x14ac:dyDescent="0.25">
      <c r="B29" s="1" t="s">
        <v>7</v>
      </c>
      <c r="C29" s="2">
        <f>IF(C23=1,5.800879+0.0716041*C22+0.0854959*C25+0.0248909*C26-0.0291638*C28*100, 7.094518+0.0959894*C22+0.0705703*C24-0.0174516*C26-0.0504942*C28*100)</f>
        <v>14.156611223215158</v>
      </c>
    </row>
    <row r="30" spans="1:4" s="7" customFormat="1" ht="27" thickBot="1" x14ac:dyDescent="0.35">
      <c r="B30" s="20" t="s">
        <v>23</v>
      </c>
      <c r="C30" s="21">
        <f>IF(C23=1,((C29-H45)*(H44/H46^2)+((C28*100)-H48)*(H47/H49^2)+C22/H50)/((H44/H46)^2+(H47/H49)^2+1/H50),((C29-J45)*(J44/J46^2)+((C27)-J48)*(J47/J49^2)+C22/J50)/((J44/J46)^2+(J47/J49)^2+1/J50))</f>
        <v>64.628019310864474</v>
      </c>
    </row>
    <row r="31" spans="1:4" s="23" customFormat="1" ht="17" thickBot="1" x14ac:dyDescent="0.25">
      <c r="C31" s="24"/>
    </row>
    <row r="32" spans="1:4" x14ac:dyDescent="0.2">
      <c r="C32" s="2"/>
    </row>
    <row r="33" spans="1:10" x14ac:dyDescent="0.2">
      <c r="C33" s="2"/>
    </row>
    <row r="34" spans="1:10" ht="26" x14ac:dyDescent="0.3">
      <c r="A34" s="7" t="s">
        <v>52</v>
      </c>
      <c r="C34" s="2"/>
    </row>
    <row r="35" spans="1:10" x14ac:dyDescent="0.2">
      <c r="C35" s="2"/>
    </row>
    <row r="36" spans="1:10" x14ac:dyDescent="0.2">
      <c r="B36" s="1" t="s">
        <v>46</v>
      </c>
      <c r="C36" s="26">
        <v>8.4</v>
      </c>
    </row>
    <row r="37" spans="1:10" ht="17" thickBot="1" x14ac:dyDescent="0.25">
      <c r="B37" s="1" t="s">
        <v>47</v>
      </c>
      <c r="C37" s="2">
        <f>IF(C6=1,(C36*1.1956)+(-0.018*((C7*100)-181)),(C36*1.1956)+(-0.018*((C7*100)-166)))</f>
        <v>10.025039999999999</v>
      </c>
    </row>
    <row r="38" spans="1:10" ht="27" thickBot="1" x14ac:dyDescent="0.35">
      <c r="B38" s="20" t="s">
        <v>23</v>
      </c>
      <c r="C38" s="21">
        <f>IF(C23=1,((C37-H45)*(H44/H46^2)+((C28*100)-H48)*(H47/H49^2)+C22/H50)/((H44/H46)^2+(H47/H49)^2+1/H50),((C37-J45)*(J44/J46^2)+((C27)-J48)*(J47/J49^2)+C22/J50)/((J44/J46)^2+(J47/J49)^2+1/J50))</f>
        <v>54.517382096510353</v>
      </c>
    </row>
    <row r="39" spans="1:10" x14ac:dyDescent="0.2">
      <c r="C39" s="2"/>
    </row>
    <row r="40" spans="1:10" x14ac:dyDescent="0.2">
      <c r="C40" s="2"/>
    </row>
    <row r="41" spans="1:10" s="23" customFormat="1" ht="17" thickBot="1" x14ac:dyDescent="0.25">
      <c r="C41" s="24"/>
    </row>
    <row r="43" spans="1:10" s="10" customFormat="1" x14ac:dyDescent="0.2">
      <c r="A43" s="10" t="s">
        <v>9</v>
      </c>
      <c r="G43" s="11" t="s">
        <v>11</v>
      </c>
      <c r="H43" s="11"/>
      <c r="I43" s="11" t="s">
        <v>14</v>
      </c>
    </row>
    <row r="44" spans="1:10" s="10" customFormat="1" x14ac:dyDescent="0.2">
      <c r="G44" s="10" t="s">
        <v>10</v>
      </c>
      <c r="H44" s="10">
        <v>9.5417299999999997E-2</v>
      </c>
      <c r="I44" s="10" t="s">
        <v>10</v>
      </c>
      <c r="J44" s="10">
        <v>0.1220831</v>
      </c>
    </row>
    <row r="45" spans="1:10" s="10" customFormat="1" x14ac:dyDescent="0.2">
      <c r="G45" s="10" t="s">
        <v>12</v>
      </c>
      <c r="H45" s="10">
        <v>7.5857929999999998</v>
      </c>
      <c r="I45" s="10" t="s">
        <v>12</v>
      </c>
      <c r="J45" s="10">
        <v>6.133464</v>
      </c>
    </row>
    <row r="46" spans="1:10" s="10" customFormat="1" x14ac:dyDescent="0.2">
      <c r="G46" s="10" t="s">
        <v>20</v>
      </c>
      <c r="H46" s="10">
        <v>1.3570279999999999</v>
      </c>
      <c r="I46" s="10" t="s">
        <v>20</v>
      </c>
      <c r="J46" s="10">
        <v>1.4791620000000001</v>
      </c>
    </row>
    <row r="47" spans="1:10" s="10" customFormat="1" x14ac:dyDescent="0.2">
      <c r="G47" s="10" t="s">
        <v>15</v>
      </c>
      <c r="H47" s="10">
        <v>-0.2420358</v>
      </c>
      <c r="I47" s="10" t="s">
        <v>17</v>
      </c>
      <c r="J47" s="10">
        <v>-0.28181010000000001</v>
      </c>
    </row>
    <row r="48" spans="1:10" s="10" customFormat="1" x14ac:dyDescent="0.2">
      <c r="G48" s="10" t="s">
        <v>16</v>
      </c>
      <c r="H48" s="10">
        <v>190.04490000000001</v>
      </c>
      <c r="I48" s="10" t="s">
        <v>18</v>
      </c>
      <c r="J48" s="10">
        <v>89.019620000000003</v>
      </c>
    </row>
    <row r="49" spans="1:10" s="10" customFormat="1" x14ac:dyDescent="0.2">
      <c r="G49" s="10" t="s">
        <v>21</v>
      </c>
      <c r="H49" s="10">
        <v>6.6646210000000004</v>
      </c>
      <c r="I49" s="10" t="s">
        <v>22</v>
      </c>
      <c r="J49" s="10">
        <v>10.277380000000001</v>
      </c>
    </row>
    <row r="50" spans="1:10" s="10" customFormat="1" x14ac:dyDescent="0.2">
      <c r="G50" s="10" t="s">
        <v>13</v>
      </c>
      <c r="H50" s="10">
        <v>67.06765</v>
      </c>
      <c r="I50" s="10" t="s">
        <v>13</v>
      </c>
      <c r="J50" s="10">
        <v>53.847810000000003</v>
      </c>
    </row>
    <row r="51" spans="1:10" s="10" customFormat="1" x14ac:dyDescent="0.2"/>
    <row r="52" spans="1:10" s="10" customFormat="1" x14ac:dyDescent="0.2">
      <c r="G52" s="10">
        <f>(C29-H45)*(H44/H46^2)+((C28*100)-H48)*(H47/H49^2)+C22/H50</f>
        <v>1.3683811038543403</v>
      </c>
      <c r="I52" s="10">
        <f>(C29-J45)*(J44/J46^2)+((C27)-J48)*(J47/J49^2)+C22/J50</f>
        <v>1.748115118997329</v>
      </c>
    </row>
    <row r="53" spans="1:10" s="10" customFormat="1" x14ac:dyDescent="0.2">
      <c r="G53" s="10">
        <f>(H44/H46)^2+(H47/H49)^2+1/H50</f>
        <v>2.1173186466884413E-2</v>
      </c>
      <c r="I53" s="10">
        <f>(J44/J46)^2+(J47/J49)^2+1/J50</f>
        <v>2.6134814988346123E-2</v>
      </c>
    </row>
    <row r="54" spans="1:10" s="25" customFormat="1" ht="17" thickBot="1" x14ac:dyDescent="0.25">
      <c r="G54" s="25">
        <f>G52/G53</f>
        <v>64.628019310864474</v>
      </c>
      <c r="I54" s="25">
        <f>I52/I53</f>
        <v>66.888367863971396</v>
      </c>
    </row>
    <row r="57" spans="1:10" x14ac:dyDescent="0.2">
      <c r="A57" s="5" t="s">
        <v>37</v>
      </c>
    </row>
    <row r="58" spans="1:10" x14ac:dyDescent="0.2">
      <c r="A58" s="6">
        <v>1</v>
      </c>
      <c r="B58" s="14" t="s">
        <v>43</v>
      </c>
    </row>
    <row r="59" spans="1:10" x14ac:dyDescent="0.2">
      <c r="A59" s="6">
        <v>2</v>
      </c>
      <c r="B59" s="15" t="s">
        <v>44</v>
      </c>
    </row>
    <row r="60" spans="1:10" x14ac:dyDescent="0.2">
      <c r="A60" s="6"/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ED0E8-3F21-ED43-9C5E-49FB1DB3320D}">
  <dimension ref="A1:D7"/>
  <sheetViews>
    <sheetView workbookViewId="0">
      <selection activeCell="A6" sqref="A6"/>
    </sheetView>
  </sheetViews>
  <sheetFormatPr baseColWidth="10" defaultRowHeight="16" x14ac:dyDescent="0.2"/>
  <cols>
    <col min="2" max="2" width="13.5" bestFit="1" customWidth="1"/>
    <col min="4" max="4" width="13.5" bestFit="1" customWidth="1"/>
  </cols>
  <sheetData>
    <row r="1" spans="1:4" x14ac:dyDescent="0.2">
      <c r="B1" t="s">
        <v>32</v>
      </c>
      <c r="C1" t="s">
        <v>33</v>
      </c>
      <c r="D1" t="s">
        <v>34</v>
      </c>
    </row>
    <row r="2" spans="1:4" x14ac:dyDescent="0.2">
      <c r="A2" t="s">
        <v>26</v>
      </c>
      <c r="B2">
        <v>6.6</v>
      </c>
      <c r="C2">
        <v>7.6</v>
      </c>
      <c r="D2">
        <v>8.9</v>
      </c>
    </row>
    <row r="3" spans="1:4" x14ac:dyDescent="0.2">
      <c r="A3" t="s">
        <v>27</v>
      </c>
      <c r="B3">
        <v>6.5</v>
      </c>
      <c r="C3">
        <v>8</v>
      </c>
      <c r="D3">
        <v>9.9</v>
      </c>
    </row>
    <row r="4" spans="1:4" x14ac:dyDescent="0.2">
      <c r="A4" t="s">
        <v>28</v>
      </c>
      <c r="B4">
        <v>7.3</v>
      </c>
      <c r="C4">
        <v>8.6</v>
      </c>
      <c r="D4">
        <v>10.8</v>
      </c>
    </row>
    <row r="5" spans="1:4" x14ac:dyDescent="0.2">
      <c r="A5" t="s">
        <v>29</v>
      </c>
      <c r="B5">
        <v>7.9</v>
      </c>
      <c r="C5">
        <v>10.1</v>
      </c>
      <c r="D5">
        <v>12.5</v>
      </c>
    </row>
    <row r="6" spans="1:4" x14ac:dyDescent="0.2">
      <c r="A6" t="s">
        <v>30</v>
      </c>
      <c r="B6">
        <v>9.9</v>
      </c>
      <c r="C6">
        <v>12.2</v>
      </c>
      <c r="D6">
        <v>16.3</v>
      </c>
    </row>
    <row r="7" spans="1:4" x14ac:dyDescent="0.2">
      <c r="A7" t="s">
        <v>31</v>
      </c>
      <c r="B7">
        <v>10</v>
      </c>
      <c r="C7">
        <v>13.3</v>
      </c>
      <c r="D7">
        <v>18.2</v>
      </c>
    </row>
  </sheetData>
  <sheetProtection algorithmName="SHA-512" hashValue="76Nabr/AJdSWCsWwHizAeKueHDWgpZcD1qo92vcYySFgKx/8975ztQtTXS9zotobhb3AgICLVTSzRt2OqF+dgQ==" saltValue="EI2AWtppQQsiTLgCnskav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ePWV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</dc:creator>
  <cp:lastModifiedBy>Lutz</cp:lastModifiedBy>
  <dcterms:created xsi:type="dcterms:W3CDTF">2024-01-16T13:45:59Z</dcterms:created>
  <dcterms:modified xsi:type="dcterms:W3CDTF">2024-01-20T11:34:29Z</dcterms:modified>
</cp:coreProperties>
</file>